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13_ncr:1_{7D7A6D2B-40DF-4819-AEBE-F9531DBF5EC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7" i="2"/>
  <c r="A12" i="2"/>
  <c r="A10" i="2"/>
  <c r="A4" i="2"/>
  <c r="D26" i="1"/>
  <c r="D9" i="1"/>
  <c r="D35" i="1"/>
  <c r="D52" i="1"/>
  <c r="D30" i="1"/>
  <c r="D44" i="1"/>
  <c r="D32" i="1"/>
  <c r="D62" i="1"/>
  <c r="D61" i="1"/>
  <c r="D13" i="1"/>
  <c r="D48" i="1"/>
  <c r="D42" i="1"/>
  <c r="D34" i="1"/>
  <c r="D55" i="1"/>
  <c r="D40" i="1"/>
  <c r="D56" i="1"/>
  <c r="D51" i="1"/>
  <c r="D12" i="1"/>
  <c r="D11" i="1"/>
  <c r="D23" i="1"/>
  <c r="D53" i="1"/>
  <c r="D25" i="1"/>
  <c r="D28" i="1"/>
  <c r="D45" i="1"/>
  <c r="D10" i="1"/>
  <c r="D8" i="1"/>
  <c r="D7" i="1"/>
  <c r="D21" i="1"/>
  <c r="D29" i="1"/>
  <c r="D20" i="1"/>
  <c r="D27" i="1"/>
  <c r="D17" i="1"/>
  <c r="D63" i="1"/>
  <c r="D47" i="1"/>
  <c r="D50" i="1"/>
  <c r="D33" i="1"/>
  <c r="D59" i="1"/>
  <c r="D6" i="1"/>
  <c r="A11" i="2" s="1"/>
  <c r="A8" i="2"/>
  <c r="D5" i="1"/>
  <c r="D16" i="1"/>
  <c r="D60" i="1"/>
  <c r="D22" i="1"/>
  <c r="D41" i="1"/>
  <c r="D64" i="1"/>
  <c r="D46" i="1"/>
  <c r="D54" i="1"/>
  <c r="D15" i="1"/>
  <c r="D43" i="1"/>
  <c r="D36" i="1"/>
  <c r="D39" i="1"/>
  <c r="D38" i="1"/>
  <c r="A9" i="2"/>
  <c r="D58" i="1"/>
  <c r="D14" i="1"/>
  <c r="D37" i="1"/>
  <c r="D18" i="1"/>
  <c r="D49" i="1"/>
  <c r="D19" i="1"/>
  <c r="D31" i="1"/>
  <c r="D24" i="1"/>
  <c r="D57" i="1"/>
  <c r="D65" i="1" l="1"/>
  <c r="A13" i="2"/>
</calcChain>
</file>

<file path=xl/sharedStrings.xml><?xml version="1.0" encoding="utf-8"?>
<sst xmlns="http://schemas.openxmlformats.org/spreadsheetml/2006/main" count="211" uniqueCount="117">
  <si>
    <t>ISPLATITELJ SREDSTAVA: Osnovna škola Grigora Viteza</t>
  </si>
  <si>
    <t>NAZIV PRIMATELJA SREDSTAVA</t>
  </si>
  <si>
    <t>OIB PRIMATELJA SREDSTAVA</t>
  </si>
  <si>
    <t>SJEDIŠTE PRIMATELJA</t>
  </si>
  <si>
    <t>UKUPAN IZNOS ISPLATE</t>
  </si>
  <si>
    <t>VRSTA RASHODA/IZDATKA</t>
  </si>
  <si>
    <t>3234 Komunalne usluge</t>
  </si>
  <si>
    <t>A1 Hrvatska d.o.o.</t>
  </si>
  <si>
    <t>3231 Usluge telefona, pošte i prijevoza</t>
  </si>
  <si>
    <t>Telemach d.o.o.</t>
  </si>
  <si>
    <t>OPTIMUS LAB d.o.o.</t>
  </si>
  <si>
    <t>3238 Računalne usluge</t>
  </si>
  <si>
    <t>BON-TON d.o.o.</t>
  </si>
  <si>
    <t>3221 Uredski materijal i ostali materijalni rashodi</t>
  </si>
  <si>
    <t xml:space="preserve">Klara Zagreb </t>
  </si>
  <si>
    <t>3222 Materijal i sirovine</t>
  </si>
  <si>
    <t>Ledo plus d.o.o.</t>
  </si>
  <si>
    <t>Agrodalm d.o.o.</t>
  </si>
  <si>
    <t>Naše Klasje d.o.o.</t>
  </si>
  <si>
    <t>Isplatitelj sredstava: Osnovna škola Grigora Viteza, Zagreb</t>
  </si>
  <si>
    <t>UKUPAN IZNOS ZBIRNE ISPLATE</t>
  </si>
  <si>
    <t>3111 Plaće za redovan rad</t>
  </si>
  <si>
    <t>3132 Doprinosi za obvezno zdravstveno osiguranje</t>
  </si>
  <si>
    <t>E.S.K. d.o.o.</t>
  </si>
  <si>
    <t>Erste &amp; Steiermarkische Bank d.d.</t>
  </si>
  <si>
    <t>Vindija d.d.</t>
  </si>
  <si>
    <t>06135698286</t>
  </si>
  <si>
    <t>007179054100</t>
  </si>
  <si>
    <t>3237 Intelektualne i ostale usluge</t>
  </si>
  <si>
    <t>2312 Obveze za naknade plaće-neto</t>
  </si>
  <si>
    <t>3113 Plaće za prekovremeni rad</t>
  </si>
  <si>
    <t>UKUPNO</t>
  </si>
  <si>
    <t>3212 Naknade za prijevoz , za rad na terenu i odvojen život</t>
  </si>
  <si>
    <t>ZET d.o.o.</t>
  </si>
  <si>
    <t>Grad Zagreb</t>
  </si>
  <si>
    <t>3431 Bankarske usluge i usluge platnog prometa</t>
  </si>
  <si>
    <t>3722 Prijevoz pratitelja roditelji</t>
  </si>
  <si>
    <t xml:space="preserve">Financijska Agencija Zagreb </t>
  </si>
  <si>
    <t>3211 Službena putovanja</t>
  </si>
  <si>
    <t>Odvjetnik Dražen Lončar</t>
  </si>
  <si>
    <t>Hrvoje Križ NET MAG</t>
  </si>
  <si>
    <t>3239 Ostale usluge</t>
  </si>
  <si>
    <t>gdpr</t>
  </si>
  <si>
    <t xml:space="preserve">Hrvatska Pošta d.d. </t>
  </si>
  <si>
    <t>3114 Plaće za posebne uvjete rada</t>
  </si>
  <si>
    <t xml:space="preserve">Školska Knjiga </t>
  </si>
  <si>
    <t>Zagrebački holding-Čistoća</t>
  </si>
  <si>
    <t>Bent excellent</t>
  </si>
  <si>
    <t>Joso Jerbić ZAGI bus</t>
  </si>
  <si>
    <t>Pan Pek d.d.</t>
  </si>
  <si>
    <t>Mar Mir d.o.o.</t>
  </si>
  <si>
    <t>3224 Materijal za tekuće i investicijsko održavanje</t>
  </si>
  <si>
    <t>Obrt Cibo Copy</t>
  </si>
  <si>
    <t>URIHO d.o.o.</t>
  </si>
  <si>
    <t>3227 Službena, radna i zaštitna odjeća i obuća</t>
  </si>
  <si>
    <t>Mozaik Knjiga</t>
  </si>
  <si>
    <t xml:space="preserve">Ljekarna Kruge </t>
  </si>
  <si>
    <t>Naknada Slap</t>
  </si>
  <si>
    <t>Insako d.o.o.</t>
  </si>
  <si>
    <t>Net Mag D.O.O.</t>
  </si>
  <si>
    <t xml:space="preserve">Hep Toplinarstvo </t>
  </si>
  <si>
    <t xml:space="preserve">3234 Komunalne usluge </t>
  </si>
  <si>
    <t>Vodoopskrba i odvodnja d.o.o.</t>
  </si>
  <si>
    <t xml:space="preserve">Zagrebačka filharmonija </t>
  </si>
  <si>
    <t>Zvibor d.o.o.</t>
  </si>
  <si>
    <t>Mjesec 1/12                                                 Kategorija 2</t>
  </si>
  <si>
    <t>EUROCOM D.O.O.</t>
  </si>
  <si>
    <t>HEP Opskrba</t>
  </si>
  <si>
    <t>Zagrebački holding- podružnica Čistoća</t>
  </si>
  <si>
    <t>Katarina Zrinski d.o.o.</t>
  </si>
  <si>
    <t>Profil Knjiga d.o.o.</t>
  </si>
  <si>
    <t>Agroproteinka-Energija</t>
  </si>
  <si>
    <t>Ekonomski Fakultet ZaGREB</t>
  </si>
  <si>
    <t>Esustavi d.o.o.</t>
  </si>
  <si>
    <t>AX Soling d.d.</t>
  </si>
  <si>
    <t>Bluemont d.o.o.</t>
  </si>
  <si>
    <t>Opti print Adria d.o.o.</t>
  </si>
  <si>
    <t>Cijanizacija d.o.o.</t>
  </si>
  <si>
    <t>Roletarstvo Dodić</t>
  </si>
  <si>
    <t>Vatropromet d.o.o.</t>
  </si>
  <si>
    <t>NZJZ Andrija Štampar</t>
  </si>
  <si>
    <t>Pino konzalting d.o.o.</t>
  </si>
  <si>
    <t>Clips d.o.o.</t>
  </si>
  <si>
    <t>UTIRUŠ Trogir</t>
  </si>
  <si>
    <t>Naknada Ljevak</t>
  </si>
  <si>
    <t>IGOMAT D.o.o.</t>
  </si>
  <si>
    <t>Sretno Srce d.o.o.</t>
  </si>
  <si>
    <t>Jadranski Luksuzni Hoteli d.d. Dubrovnik</t>
  </si>
  <si>
    <t>KATEGORIJA I          MJESEC siječanj/25</t>
  </si>
  <si>
    <t>Zagreb</t>
  </si>
  <si>
    <t>Sesvete</t>
  </si>
  <si>
    <t>Don Vito obrt za trgovinu</t>
  </si>
  <si>
    <t>Varaždin</t>
  </si>
  <si>
    <t>22797775374</t>
  </si>
  <si>
    <t>Dubrovnik</t>
  </si>
  <si>
    <t>Muller Trgovina Zagreb</t>
  </si>
  <si>
    <t>Lukavec</t>
  </si>
  <si>
    <t>Ježdovec</t>
  </si>
  <si>
    <t>Trogir</t>
  </si>
  <si>
    <t>3224 Materijal i dijelovi za tekuće i investicijsko održavanje</t>
  </si>
  <si>
    <t>3232 Usluge tekućeg i investicijskog održavanja</t>
  </si>
  <si>
    <t>3237 Intelektualne i osobne usluge</t>
  </si>
  <si>
    <t xml:space="preserve">3237 Intelektualne i osobne usluge </t>
  </si>
  <si>
    <t xml:space="preserve">3237 Intelektualne i ostale usluge </t>
  </si>
  <si>
    <t>3235 Zakupnine i najamnine</t>
  </si>
  <si>
    <t>Hrvatska sveučilišna naklada d.o.o.</t>
  </si>
  <si>
    <t>Opg Gašpar Ivan</t>
  </si>
  <si>
    <t>3221  Uredski materijal i ostali materijalni rashodi</t>
  </si>
  <si>
    <t>4241 Knjige</t>
  </si>
  <si>
    <t>3236 Zdravstvene i veterinarske usluge</t>
  </si>
  <si>
    <t>4221  Uredska oprema i namještaj</t>
  </si>
  <si>
    <t xml:space="preserve">3235 Zakupnine i najamnine </t>
  </si>
  <si>
    <t xml:space="preserve">3222 Materijal i sirovine </t>
  </si>
  <si>
    <t>3213  Stručno usavršavanje zaposlenika</t>
  </si>
  <si>
    <t>3225 Sitni inventar i gume</t>
  </si>
  <si>
    <t>3299 Ostali nespomenuti rashodi poslovanja</t>
  </si>
  <si>
    <t>3213 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</si>
</sst>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18">
    <xf numFmtId="0" fontId="0" fillId="0" borderId="0" xfId="0"/>
    <xf numFmtId="0" fontId="7" fillId="2" borderId="1" xfId="1" applyBorder="1"/>
    <xf numFmtId="0" fontId="7" fillId="2" borderId="2" xfId="1" applyBorder="1"/>
    <xf numFmtId="0" fontId="6" fillId="2" borderId="2" xfId="1" applyFont="1" applyBorder="1"/>
    <xf numFmtId="2" fontId="0" fillId="0" borderId="0" xfId="0" applyNumberForma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/>
    <xf numFmtId="0" fontId="0" fillId="0" borderId="0" xfId="0" applyNumberFormat="1" applyAlignment="1">
      <alignment horizontal="right" vertical="center"/>
    </xf>
    <xf numFmtId="0" fontId="3" fillId="0" borderId="0" xfId="0" applyFont="1"/>
    <xf numFmtId="2" fontId="3" fillId="0" borderId="0" xfId="0" applyNumberFormat="1" applyFont="1"/>
    <xf numFmtId="2" fontId="0" fillId="0" borderId="0" xfId="0" applyNumberFormat="1" applyAlignment="1">
      <alignment horizontal="right" vertical="center"/>
    </xf>
    <xf numFmtId="0" fontId="2" fillId="2" borderId="2" xfId="1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2">
    <cellStyle name="20% - Isticanje1" xfId="1" builtinId="30"/>
    <cellStyle name="Normalno" xfId="0" builtinId="0"/>
  </cellStyles>
  <dxfs count="5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7652DE-DBBB-4248-86E1-0C650BADE617}" name="Tablica1" displayName="Tablica1" ref="A4:E65" totalsRowCount="1">
  <autoFilter ref="A4:E64" xr:uid="{E27652DE-DBBB-4248-86E1-0C650BADE617}"/>
  <sortState xmlns:xlrd2="http://schemas.microsoft.com/office/spreadsheetml/2017/richdata2" ref="A5:E64">
    <sortCondition ref="A5:A64"/>
  </sortState>
  <tableColumns count="5">
    <tableColumn id="1" xr3:uid="{DF928D6B-1B94-4CAE-A565-653076135A6B}" name="NAZIV PRIMATELJA SREDSTAVA" totalsRowDxfId="4"/>
    <tableColumn id="2" xr3:uid="{F2E4CB61-D223-405D-BFDA-0B3CE778FF64}" name="OIB PRIMATELJA SREDSTAVA" totalsRowDxfId="3"/>
    <tableColumn id="3" xr3:uid="{AF86380F-90A9-4311-B806-DD97FB7DC7F3}" name="SJEDIŠTE PRIMATELJA" totalsRowDxfId="2"/>
    <tableColumn id="4" xr3:uid="{633A870F-4CB5-48DA-9DAD-AD6013568178}" name="UKUPAN IZNOS ISPLATE" totalsRowFunction="custom" totalsRowDxfId="1">
      <totalsRowFormula>SUM(D5:D64)</totalsRowFormula>
    </tableColumn>
    <tableColumn id="5" xr3:uid="{31FB1DCE-5AA3-4E18-8FF9-AC393D85F125}" name="VRSTA RASHODA/IZDATKA" totalsRowLabel="UKUPN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60B1D4-8304-4B4A-84AE-257AEF00D225}" name="Tablica2" displayName="Tablica2" ref="A3:B13" totalsRowCount="1">
  <autoFilter ref="A3:B12" xr:uid="{4360B1D4-8304-4B4A-84AE-257AEF00D225}"/>
  <tableColumns count="2">
    <tableColumn id="1" xr3:uid="{A036F573-6321-477C-9CD9-2A8C7C18864F}" name="UKUPAN IZNOS ZBIRNE ISPLATE" totalsRowFunction="custom" dataDxfId="0">
      <calculatedColumnFormula>9753.81</calculatedColumnFormula>
      <totalsRowFormula>SUM(A4:A12)</totalsRowFormula>
    </tableColumn>
    <tableColumn id="2" xr3:uid="{8E059294-5CCF-43C3-A982-897515B2BBCB}" name="VRSTA RASHODA/IZDATKA" totalsRowLabel="UKUP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opLeftCell="A52" workbookViewId="0">
      <selection activeCell="A9" sqref="A9"/>
    </sheetView>
  </sheetViews>
  <sheetFormatPr defaultRowHeight="15" x14ac:dyDescent="0.25"/>
  <cols>
    <col min="1" max="1" width="49.140625" customWidth="1"/>
    <col min="2" max="2" width="30.140625" customWidth="1"/>
    <col min="3" max="3" width="44.140625" customWidth="1"/>
    <col min="4" max="4" width="23.85546875" customWidth="1"/>
    <col min="5" max="5" width="58.5703125" customWidth="1"/>
    <col min="6" max="7" width="8.85546875" customWidth="1"/>
  </cols>
  <sheetData>
    <row r="1" spans="1:5" ht="15.75" thickBot="1" x14ac:dyDescent="0.3">
      <c r="A1" s="1" t="s">
        <v>0</v>
      </c>
      <c r="B1" s="2"/>
      <c r="C1" s="3"/>
      <c r="D1" s="2"/>
      <c r="E1" s="15" t="s">
        <v>88</v>
      </c>
    </row>
    <row r="4" spans="1:5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 x14ac:dyDescent="0.25">
      <c r="A5" t="s">
        <v>7</v>
      </c>
      <c r="B5" s="16">
        <v>29524210204</v>
      </c>
      <c r="C5" t="s">
        <v>89</v>
      </c>
      <c r="D5" s="4">
        <f>16.56+16.56</f>
        <v>33.119999999999997</v>
      </c>
      <c r="E5" t="s">
        <v>8</v>
      </c>
    </row>
    <row r="6" spans="1:5" x14ac:dyDescent="0.25">
      <c r="A6" t="s">
        <v>17</v>
      </c>
      <c r="B6" s="16">
        <v>80649374262</v>
      </c>
      <c r="C6" t="s">
        <v>89</v>
      </c>
      <c r="D6" s="4">
        <f>51.03+646.01</f>
        <v>697.04</v>
      </c>
      <c r="E6" t="s">
        <v>15</v>
      </c>
    </row>
    <row r="7" spans="1:5" x14ac:dyDescent="0.25">
      <c r="A7" t="s">
        <v>71</v>
      </c>
      <c r="B7" s="16">
        <v>80695452345</v>
      </c>
      <c r="C7" t="s">
        <v>90</v>
      </c>
      <c r="D7" s="4">
        <f>118.38+66.38+79.65</f>
        <v>264.40999999999997</v>
      </c>
      <c r="E7" t="s">
        <v>61</v>
      </c>
    </row>
    <row r="8" spans="1:5" x14ac:dyDescent="0.25">
      <c r="A8" t="s">
        <v>74</v>
      </c>
      <c r="B8" s="16">
        <v>93866827970</v>
      </c>
      <c r="C8" t="s">
        <v>89</v>
      </c>
      <c r="D8" s="4">
        <f>118.8</f>
        <v>118.8</v>
      </c>
      <c r="E8" t="s">
        <v>99</v>
      </c>
    </row>
    <row r="9" spans="1:5" x14ac:dyDescent="0.25">
      <c r="A9" t="s">
        <v>47</v>
      </c>
      <c r="B9" s="16">
        <v>91040737993</v>
      </c>
      <c r="C9" t="s">
        <v>89</v>
      </c>
      <c r="D9" s="4">
        <f>108.37</f>
        <v>108.37</v>
      </c>
      <c r="E9" t="s">
        <v>13</v>
      </c>
    </row>
    <row r="10" spans="1:5" x14ac:dyDescent="0.25">
      <c r="A10" t="s">
        <v>75</v>
      </c>
      <c r="B10" s="16">
        <v>54895392358</v>
      </c>
      <c r="C10" t="s">
        <v>89</v>
      </c>
      <c r="D10" s="4">
        <f>430</f>
        <v>430</v>
      </c>
      <c r="E10" t="s">
        <v>100</v>
      </c>
    </row>
    <row r="11" spans="1:5" x14ac:dyDescent="0.25">
      <c r="A11" t="s">
        <v>12</v>
      </c>
      <c r="B11" s="16">
        <v>52931027628</v>
      </c>
      <c r="C11" t="s">
        <v>89</v>
      </c>
      <c r="D11" s="4">
        <f>68.25</f>
        <v>68.25</v>
      </c>
      <c r="E11" t="s">
        <v>13</v>
      </c>
    </row>
    <row r="12" spans="1:5" x14ac:dyDescent="0.25">
      <c r="A12" t="s">
        <v>77</v>
      </c>
      <c r="B12" s="16">
        <v>59646425366</v>
      </c>
      <c r="C12" t="s">
        <v>89</v>
      </c>
      <c r="D12" s="4">
        <f>162.75</f>
        <v>162.75</v>
      </c>
      <c r="E12" t="s">
        <v>6</v>
      </c>
    </row>
    <row r="13" spans="1:5" x14ac:dyDescent="0.25">
      <c r="A13" t="s">
        <v>82</v>
      </c>
      <c r="B13" s="16">
        <v>52401930153</v>
      </c>
      <c r="C13" t="s">
        <v>89</v>
      </c>
      <c r="D13" s="4">
        <f>186.25+80.63+112.5+131.25+84.38+84.38</f>
        <v>679.39</v>
      </c>
      <c r="E13" t="s">
        <v>15</v>
      </c>
    </row>
    <row r="14" spans="1:5" x14ac:dyDescent="0.25">
      <c r="A14" t="s">
        <v>52</v>
      </c>
      <c r="B14" s="16" t="s">
        <v>42</v>
      </c>
      <c r="C14" t="s">
        <v>89</v>
      </c>
      <c r="D14" s="4">
        <f>623.75</f>
        <v>623.75</v>
      </c>
      <c r="E14" t="s">
        <v>41</v>
      </c>
    </row>
    <row r="15" spans="1:5" x14ac:dyDescent="0.25">
      <c r="A15" t="s">
        <v>39</v>
      </c>
      <c r="B15" s="16" t="s">
        <v>42</v>
      </c>
      <c r="C15" t="s">
        <v>89</v>
      </c>
      <c r="D15" s="4">
        <f>318.75+250</f>
        <v>568.75</v>
      </c>
      <c r="E15" t="s">
        <v>101</v>
      </c>
    </row>
    <row r="16" spans="1:5" x14ac:dyDescent="0.25">
      <c r="A16" t="s">
        <v>91</v>
      </c>
      <c r="B16" s="16" t="s">
        <v>42</v>
      </c>
      <c r="C16" t="s">
        <v>89</v>
      </c>
      <c r="D16" s="4">
        <f>350.87</f>
        <v>350.87</v>
      </c>
      <c r="E16" t="s">
        <v>102</v>
      </c>
    </row>
    <row r="17" spans="1:5" x14ac:dyDescent="0.25">
      <c r="A17" t="s">
        <v>23</v>
      </c>
      <c r="B17" s="17" t="s">
        <v>26</v>
      </c>
      <c r="C17" t="s">
        <v>89</v>
      </c>
      <c r="D17" s="4">
        <f>100</f>
        <v>100</v>
      </c>
      <c r="E17" s="5" t="s">
        <v>28</v>
      </c>
    </row>
    <row r="18" spans="1:5" x14ac:dyDescent="0.25">
      <c r="A18" t="s">
        <v>66</v>
      </c>
      <c r="B18" s="16">
        <v>61781931283</v>
      </c>
      <c r="C18" t="s">
        <v>89</v>
      </c>
      <c r="D18">
        <f>308.98</f>
        <v>308.98</v>
      </c>
      <c r="E18" t="s">
        <v>13</v>
      </c>
    </row>
    <row r="19" spans="1:5" x14ac:dyDescent="0.25">
      <c r="A19" t="s">
        <v>24</v>
      </c>
      <c r="B19" s="16">
        <v>23057039320</v>
      </c>
      <c r="C19" t="s">
        <v>89</v>
      </c>
      <c r="D19" s="4">
        <f>71.02</f>
        <v>71.02</v>
      </c>
      <c r="E19" t="s">
        <v>35</v>
      </c>
    </row>
    <row r="20" spans="1:5" x14ac:dyDescent="0.25">
      <c r="A20" t="s">
        <v>72</v>
      </c>
      <c r="B20" s="16">
        <v>27208467122</v>
      </c>
      <c r="C20" t="s">
        <v>89</v>
      </c>
      <c r="D20" s="4">
        <f>40</f>
        <v>40</v>
      </c>
      <c r="E20" t="s">
        <v>103</v>
      </c>
    </row>
    <row r="21" spans="1:5" x14ac:dyDescent="0.25">
      <c r="A21" t="s">
        <v>73</v>
      </c>
      <c r="B21" s="16">
        <v>23773266371</v>
      </c>
      <c r="C21" t="s">
        <v>89</v>
      </c>
      <c r="D21" s="4">
        <f>165.9</f>
        <v>165.9</v>
      </c>
      <c r="E21" t="s">
        <v>104</v>
      </c>
    </row>
    <row r="22" spans="1:5" x14ac:dyDescent="0.25">
      <c r="A22" t="s">
        <v>37</v>
      </c>
      <c r="B22" s="16">
        <v>85821130368</v>
      </c>
      <c r="C22" t="s">
        <v>89</v>
      </c>
      <c r="D22">
        <f>1.91+1.66+16.6</f>
        <v>20.170000000000002</v>
      </c>
      <c r="E22" s="10" t="s">
        <v>11</v>
      </c>
    </row>
    <row r="23" spans="1:5" x14ac:dyDescent="0.25">
      <c r="A23" t="s">
        <v>34</v>
      </c>
      <c r="B23" s="16">
        <v>61817894937</v>
      </c>
      <c r="C23" t="s">
        <v>89</v>
      </c>
      <c r="D23">
        <f>114.28+114.28</f>
        <v>228.56</v>
      </c>
      <c r="E23" t="s">
        <v>6</v>
      </c>
    </row>
    <row r="24" spans="1:5" ht="17.100000000000001" customHeight="1" x14ac:dyDescent="0.25">
      <c r="A24" t="s">
        <v>43</v>
      </c>
      <c r="B24" s="16">
        <v>87311810356</v>
      </c>
      <c r="C24" t="s">
        <v>89</v>
      </c>
      <c r="D24">
        <f>22.34+1.05</f>
        <v>23.39</v>
      </c>
      <c r="E24" t="s">
        <v>8</v>
      </c>
    </row>
    <row r="25" spans="1:5" x14ac:dyDescent="0.25">
      <c r="A25" t="s">
        <v>60</v>
      </c>
      <c r="B25" s="16">
        <v>15907062900</v>
      </c>
      <c r="C25" t="s">
        <v>89</v>
      </c>
      <c r="D25">
        <f>3877.59+1705.26+4854.89</f>
        <v>10437.740000000002</v>
      </c>
      <c r="E25" t="s">
        <v>61</v>
      </c>
    </row>
    <row r="26" spans="1:5" x14ac:dyDescent="0.25">
      <c r="A26" t="s">
        <v>67</v>
      </c>
      <c r="B26" s="16">
        <v>63073332379</v>
      </c>
      <c r="C26" t="s">
        <v>89</v>
      </c>
      <c r="D26">
        <f>1057.88+1121.03+974.47</f>
        <v>3153.38</v>
      </c>
      <c r="E26" t="s">
        <v>61</v>
      </c>
    </row>
    <row r="27" spans="1:5" x14ac:dyDescent="0.25">
      <c r="A27" t="s">
        <v>105</v>
      </c>
      <c r="B27" s="16">
        <v>58597177555</v>
      </c>
      <c r="C27" t="s">
        <v>89</v>
      </c>
      <c r="D27">
        <f>18.59</f>
        <v>18.59</v>
      </c>
      <c r="E27" t="s">
        <v>108</v>
      </c>
    </row>
    <row r="28" spans="1:5" x14ac:dyDescent="0.25">
      <c r="A28" s="6" t="s">
        <v>40</v>
      </c>
      <c r="B28" s="16">
        <v>21173008888</v>
      </c>
      <c r="C28" t="s">
        <v>89</v>
      </c>
      <c r="D28" s="4">
        <f>55+55+55+480</f>
        <v>645</v>
      </c>
      <c r="E28" t="s">
        <v>11</v>
      </c>
    </row>
    <row r="29" spans="1:5" x14ac:dyDescent="0.25">
      <c r="A29" t="s">
        <v>58</v>
      </c>
      <c r="B29" s="16">
        <v>39851720584</v>
      </c>
      <c r="C29" t="s">
        <v>89</v>
      </c>
      <c r="D29">
        <f>185.46+18</f>
        <v>203.46</v>
      </c>
      <c r="E29" t="s">
        <v>107</v>
      </c>
    </row>
    <row r="30" spans="1:5" x14ac:dyDescent="0.25">
      <c r="A30" t="s">
        <v>85</v>
      </c>
      <c r="B30" s="16">
        <v>55662000497</v>
      </c>
      <c r="C30" t="s">
        <v>89</v>
      </c>
      <c r="D30">
        <f>221.76+77.74</f>
        <v>299.5</v>
      </c>
      <c r="E30" t="s">
        <v>15</v>
      </c>
    </row>
    <row r="31" spans="1:5" x14ac:dyDescent="0.25">
      <c r="A31" t="s">
        <v>48</v>
      </c>
      <c r="B31" s="16" t="s">
        <v>42</v>
      </c>
      <c r="C31" t="s">
        <v>89</v>
      </c>
      <c r="D31">
        <f>475</f>
        <v>475</v>
      </c>
      <c r="E31" t="s">
        <v>8</v>
      </c>
    </row>
    <row r="32" spans="1:5" x14ac:dyDescent="0.25">
      <c r="A32" t="s">
        <v>14</v>
      </c>
      <c r="B32" s="16">
        <v>76842508189</v>
      </c>
      <c r="C32" t="s">
        <v>89</v>
      </c>
      <c r="D32" s="4">
        <f>78.78+105.2</f>
        <v>183.98000000000002</v>
      </c>
      <c r="E32" t="s">
        <v>15</v>
      </c>
    </row>
    <row r="33" spans="1:5" x14ac:dyDescent="0.25">
      <c r="A33" t="s">
        <v>69</v>
      </c>
      <c r="B33" s="7">
        <v>13653700851</v>
      </c>
      <c r="C33" t="s">
        <v>92</v>
      </c>
      <c r="D33">
        <f>6</f>
        <v>6</v>
      </c>
      <c r="E33" t="s">
        <v>8</v>
      </c>
    </row>
    <row r="34" spans="1:5" x14ac:dyDescent="0.25">
      <c r="A34" t="s">
        <v>16</v>
      </c>
      <c r="B34" s="8" t="s">
        <v>27</v>
      </c>
      <c r="C34" t="s">
        <v>89</v>
      </c>
      <c r="D34" s="4">
        <f>7.88</f>
        <v>7.88</v>
      </c>
      <c r="E34" t="s">
        <v>15</v>
      </c>
    </row>
    <row r="35" spans="1:5" x14ac:dyDescent="0.25">
      <c r="A35" t="s">
        <v>87</v>
      </c>
      <c r="B35" s="8" t="s">
        <v>93</v>
      </c>
      <c r="C35" t="s">
        <v>94</v>
      </c>
      <c r="D35" s="4">
        <f>521.1</f>
        <v>521.1</v>
      </c>
      <c r="E35" t="s">
        <v>38</v>
      </c>
    </row>
    <row r="36" spans="1:5" x14ac:dyDescent="0.25">
      <c r="A36" t="s">
        <v>56</v>
      </c>
      <c r="B36" s="8" t="s">
        <v>42</v>
      </c>
      <c r="C36" t="s">
        <v>89</v>
      </c>
      <c r="D36" s="4">
        <f>40.42</f>
        <v>40.42</v>
      </c>
      <c r="E36" t="s">
        <v>15</v>
      </c>
    </row>
    <row r="37" spans="1:5" x14ac:dyDescent="0.25">
      <c r="A37" t="s">
        <v>50</v>
      </c>
      <c r="B37" s="7">
        <v>90591998649</v>
      </c>
      <c r="C37" t="s">
        <v>89</v>
      </c>
      <c r="D37">
        <f>10.85</f>
        <v>10.85</v>
      </c>
      <c r="E37" t="s">
        <v>51</v>
      </c>
    </row>
    <row r="38" spans="1:5" x14ac:dyDescent="0.25">
      <c r="A38" t="s">
        <v>95</v>
      </c>
      <c r="B38" s="7">
        <v>84698789700</v>
      </c>
      <c r="C38" t="s">
        <v>89</v>
      </c>
      <c r="D38">
        <f>67.75</f>
        <v>67.75</v>
      </c>
      <c r="E38" t="s">
        <v>13</v>
      </c>
    </row>
    <row r="39" spans="1:5" x14ac:dyDescent="0.25">
      <c r="A39" t="s">
        <v>55</v>
      </c>
      <c r="B39" s="7">
        <v>57010186553</v>
      </c>
      <c r="C39" t="s">
        <v>89</v>
      </c>
      <c r="D39">
        <f>8.24</f>
        <v>8.24</v>
      </c>
      <c r="E39" t="s">
        <v>108</v>
      </c>
    </row>
    <row r="40" spans="1:5" x14ac:dyDescent="0.25">
      <c r="A40" t="s">
        <v>18</v>
      </c>
      <c r="B40" s="7">
        <v>62858712399</v>
      </c>
      <c r="C40" t="s">
        <v>89</v>
      </c>
      <c r="D40" s="4">
        <f>44.89</f>
        <v>44.89</v>
      </c>
      <c r="E40" t="s">
        <v>15</v>
      </c>
    </row>
    <row r="41" spans="1:5" x14ac:dyDescent="0.25">
      <c r="A41" t="s">
        <v>59</v>
      </c>
      <c r="B41" s="7">
        <v>21173008888</v>
      </c>
      <c r="C41" t="s">
        <v>89</v>
      </c>
      <c r="D41" s="4">
        <f>65</f>
        <v>65</v>
      </c>
      <c r="E41" t="s">
        <v>11</v>
      </c>
    </row>
    <row r="42" spans="1:5" x14ac:dyDescent="0.25">
      <c r="A42" t="s">
        <v>80</v>
      </c>
      <c r="B42" s="7">
        <v>33392005961</v>
      </c>
      <c r="C42" t="s">
        <v>89</v>
      </c>
      <c r="D42" s="4">
        <f>23.9+184.15</f>
        <v>208.05</v>
      </c>
      <c r="E42" t="s">
        <v>109</v>
      </c>
    </row>
    <row r="43" spans="1:5" x14ac:dyDescent="0.25">
      <c r="A43" t="s">
        <v>57</v>
      </c>
      <c r="B43" s="7">
        <v>70108447975</v>
      </c>
      <c r="C43" t="s">
        <v>89</v>
      </c>
      <c r="D43" s="4">
        <f>5.59</f>
        <v>5.59</v>
      </c>
      <c r="E43" t="s">
        <v>108</v>
      </c>
    </row>
    <row r="44" spans="1:5" x14ac:dyDescent="0.25">
      <c r="A44" t="s">
        <v>84</v>
      </c>
      <c r="B44" s="7">
        <v>80364394364</v>
      </c>
      <c r="C44" t="s">
        <v>89</v>
      </c>
      <c r="D44" s="4">
        <f>13.94</f>
        <v>13.94</v>
      </c>
      <c r="E44" t="s">
        <v>110</v>
      </c>
    </row>
    <row r="45" spans="1:5" x14ac:dyDescent="0.25">
      <c r="A45" t="s">
        <v>76</v>
      </c>
      <c r="B45" s="7">
        <v>11469787133</v>
      </c>
      <c r="C45" t="s">
        <v>89</v>
      </c>
      <c r="D45">
        <f>132.73+132.73</f>
        <v>265.45999999999998</v>
      </c>
      <c r="E45" t="s">
        <v>111</v>
      </c>
    </row>
    <row r="46" spans="1:5" x14ac:dyDescent="0.25">
      <c r="A46" t="s">
        <v>106</v>
      </c>
      <c r="B46" s="7" t="s">
        <v>42</v>
      </c>
      <c r="C46" t="s">
        <v>89</v>
      </c>
      <c r="D46" s="4">
        <f>144</f>
        <v>144</v>
      </c>
      <c r="E46" t="s">
        <v>112</v>
      </c>
    </row>
    <row r="47" spans="1:5" x14ac:dyDescent="0.25">
      <c r="A47" t="s">
        <v>10</v>
      </c>
      <c r="B47" s="7">
        <v>71981294715</v>
      </c>
      <c r="C47" t="s">
        <v>89</v>
      </c>
      <c r="D47" s="4">
        <f>196.88+196.88</f>
        <v>393.76</v>
      </c>
      <c r="E47" t="s">
        <v>11</v>
      </c>
    </row>
    <row r="48" spans="1:5" x14ac:dyDescent="0.25">
      <c r="A48" t="s">
        <v>81</v>
      </c>
      <c r="B48" s="7">
        <v>2156897147</v>
      </c>
      <c r="C48" t="s">
        <v>89</v>
      </c>
      <c r="D48" s="4">
        <f>100</f>
        <v>100</v>
      </c>
      <c r="E48" t="s">
        <v>113</v>
      </c>
    </row>
    <row r="49" spans="1:5" x14ac:dyDescent="0.25">
      <c r="A49" t="s">
        <v>49</v>
      </c>
      <c r="B49" s="7">
        <v>58203211592</v>
      </c>
      <c r="C49" t="s">
        <v>89</v>
      </c>
      <c r="D49" s="4">
        <f>176.4</f>
        <v>176.4</v>
      </c>
      <c r="E49" t="s">
        <v>15</v>
      </c>
    </row>
    <row r="50" spans="1:5" x14ac:dyDescent="0.25">
      <c r="A50" t="s">
        <v>70</v>
      </c>
      <c r="B50" s="7">
        <v>43192548848</v>
      </c>
      <c r="C50" t="s">
        <v>96</v>
      </c>
      <c r="D50" s="4">
        <f>37</f>
        <v>37</v>
      </c>
      <c r="E50" t="s">
        <v>108</v>
      </c>
    </row>
    <row r="51" spans="1:5" x14ac:dyDescent="0.25">
      <c r="A51" t="s">
        <v>78</v>
      </c>
      <c r="B51" s="7">
        <v>12815743341</v>
      </c>
      <c r="C51" t="s">
        <v>89</v>
      </c>
      <c r="D51" s="4">
        <f>243.04</f>
        <v>243.04</v>
      </c>
      <c r="E51" t="s">
        <v>114</v>
      </c>
    </row>
    <row r="52" spans="1:5" x14ac:dyDescent="0.25">
      <c r="A52" t="s">
        <v>86</v>
      </c>
      <c r="B52" s="7">
        <v>15253285360</v>
      </c>
      <c r="C52" t="s">
        <v>89</v>
      </c>
      <c r="D52">
        <f>13.27</f>
        <v>13.27</v>
      </c>
      <c r="E52" t="s">
        <v>108</v>
      </c>
    </row>
    <row r="53" spans="1:5" x14ac:dyDescent="0.25">
      <c r="A53" t="s">
        <v>25</v>
      </c>
      <c r="B53" s="7">
        <v>44138062462</v>
      </c>
      <c r="C53" t="s">
        <v>92</v>
      </c>
      <c r="D53" s="4">
        <f>163.2+270.06+224.29</f>
        <v>657.55</v>
      </c>
      <c r="E53" t="s">
        <v>15</v>
      </c>
    </row>
    <row r="54" spans="1:5" x14ac:dyDescent="0.25">
      <c r="A54" t="s">
        <v>9</v>
      </c>
      <c r="B54" s="7">
        <v>70133616033</v>
      </c>
      <c r="C54" t="s">
        <v>89</v>
      </c>
      <c r="D54" s="4">
        <f>26.06+44.79+38.36+44.79</f>
        <v>154</v>
      </c>
      <c r="E54" t="s">
        <v>8</v>
      </c>
    </row>
    <row r="55" spans="1:5" x14ac:dyDescent="0.25">
      <c r="A55" t="s">
        <v>79</v>
      </c>
      <c r="B55" s="7">
        <v>57189591567</v>
      </c>
      <c r="C55" t="s">
        <v>97</v>
      </c>
      <c r="D55" s="4">
        <f>925.64</f>
        <v>925.64</v>
      </c>
      <c r="E55" t="s">
        <v>51</v>
      </c>
    </row>
    <row r="56" spans="1:5" x14ac:dyDescent="0.25">
      <c r="A56" t="s">
        <v>62</v>
      </c>
      <c r="B56" s="7">
        <v>83416546499</v>
      </c>
      <c r="C56" t="s">
        <v>89</v>
      </c>
      <c r="D56" s="4">
        <f>574.13+710.03</f>
        <v>1284.1599999999999</v>
      </c>
      <c r="E56" t="s">
        <v>61</v>
      </c>
    </row>
    <row r="57" spans="1:5" x14ac:dyDescent="0.25">
      <c r="A57" t="s">
        <v>46</v>
      </c>
      <c r="B57" s="7">
        <v>85584865987</v>
      </c>
      <c r="C57" t="s">
        <v>89</v>
      </c>
      <c r="D57" s="4">
        <f>233.85+10.44+182.2</f>
        <v>426.49</v>
      </c>
      <c r="E57" t="s">
        <v>61</v>
      </c>
    </row>
    <row r="58" spans="1:5" x14ac:dyDescent="0.25">
      <c r="A58" t="s">
        <v>53</v>
      </c>
      <c r="B58" s="7">
        <v>77931216562</v>
      </c>
      <c r="C58" t="s">
        <v>89</v>
      </c>
      <c r="D58" s="4">
        <f>112</f>
        <v>112</v>
      </c>
      <c r="E58" t="s">
        <v>54</v>
      </c>
    </row>
    <row r="59" spans="1:5" x14ac:dyDescent="0.25">
      <c r="A59" t="s">
        <v>45</v>
      </c>
      <c r="B59" s="7">
        <v>38967655335</v>
      </c>
      <c r="C59" t="s">
        <v>89</v>
      </c>
      <c r="D59" s="4">
        <f>445.21+21.6</f>
        <v>466.81</v>
      </c>
      <c r="E59" t="s">
        <v>108</v>
      </c>
    </row>
    <row r="60" spans="1:5" x14ac:dyDescent="0.25">
      <c r="A60" t="s">
        <v>63</v>
      </c>
      <c r="B60" s="7">
        <v>38657725741</v>
      </c>
      <c r="C60" t="s">
        <v>89</v>
      </c>
      <c r="D60" s="4">
        <f>336</f>
        <v>336</v>
      </c>
      <c r="E60" t="s">
        <v>115</v>
      </c>
    </row>
    <row r="61" spans="1:5" x14ac:dyDescent="0.25">
      <c r="A61" t="s">
        <v>64</v>
      </c>
      <c r="B61" s="7">
        <v>3454358063</v>
      </c>
      <c r="C61" t="s">
        <v>89</v>
      </c>
      <c r="D61" s="4">
        <f>95.63+335.63+107.19+428.75</f>
        <v>967.2</v>
      </c>
      <c r="E61" t="s">
        <v>13</v>
      </c>
    </row>
    <row r="62" spans="1:5" x14ac:dyDescent="0.25">
      <c r="A62" t="s">
        <v>83</v>
      </c>
      <c r="B62" s="7">
        <v>8262555699</v>
      </c>
      <c r="C62" t="s">
        <v>98</v>
      </c>
      <c r="D62" s="4">
        <f>150+150</f>
        <v>300</v>
      </c>
      <c r="E62" t="s">
        <v>116</v>
      </c>
    </row>
    <row r="63" spans="1:5" x14ac:dyDescent="0.25">
      <c r="A63" t="s">
        <v>68</v>
      </c>
      <c r="B63" s="7">
        <v>69262261098</v>
      </c>
      <c r="C63" t="s">
        <v>89</v>
      </c>
      <c r="D63" s="4">
        <f>114.55+206.12+229.1+261.59+62.6+206.12</f>
        <v>1080.08</v>
      </c>
      <c r="E63" t="s">
        <v>61</v>
      </c>
    </row>
    <row r="64" spans="1:5" x14ac:dyDescent="0.25">
      <c r="A64" t="s">
        <v>33</v>
      </c>
      <c r="B64" s="7">
        <v>82031999604</v>
      </c>
      <c r="C64" t="s">
        <v>89</v>
      </c>
      <c r="D64">
        <f>67.34+67.34</f>
        <v>134.68</v>
      </c>
      <c r="E64" t="s">
        <v>8</v>
      </c>
    </row>
    <row r="65" spans="1:5" x14ac:dyDescent="0.25">
      <c r="A65" s="12"/>
      <c r="B65" s="12"/>
      <c r="C65" s="12"/>
      <c r="D65" s="13">
        <f>SUM(D5:D64)</f>
        <v>29697.42</v>
      </c>
      <c r="E65" t="s">
        <v>31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scale="6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A732-2B08-4314-AA89-E2BA7A6166C8}">
  <dimension ref="A1:B13"/>
  <sheetViews>
    <sheetView tabSelected="1" workbookViewId="0">
      <selection activeCell="A6" sqref="A6"/>
    </sheetView>
  </sheetViews>
  <sheetFormatPr defaultRowHeight="15" x14ac:dyDescent="0.25"/>
  <cols>
    <col min="1" max="1" width="51.140625" customWidth="1"/>
    <col min="2" max="2" width="55.5703125" customWidth="1"/>
  </cols>
  <sheetData>
    <row r="1" spans="1:2" x14ac:dyDescent="0.25">
      <c r="A1" t="s">
        <v>19</v>
      </c>
      <c r="B1" t="s">
        <v>65</v>
      </c>
    </row>
    <row r="3" spans="1:2" x14ac:dyDescent="0.25">
      <c r="A3" s="9" t="s">
        <v>20</v>
      </c>
      <c r="B3" t="s">
        <v>5</v>
      </c>
    </row>
    <row r="4" spans="1:2" x14ac:dyDescent="0.25">
      <c r="A4" s="9">
        <f>165295.94</f>
        <v>165295.94</v>
      </c>
      <c r="B4" t="s">
        <v>21</v>
      </c>
    </row>
    <row r="5" spans="1:2" x14ac:dyDescent="0.25">
      <c r="A5" s="11">
        <f>598.15+801.59+719.7+1012.3+1297.94+704.08</f>
        <v>5133.76</v>
      </c>
      <c r="B5" t="s">
        <v>30</v>
      </c>
    </row>
    <row r="6" spans="1:2" x14ac:dyDescent="0.25">
      <c r="A6" s="11">
        <f>154.94+765.68+3744.96108237</f>
        <v>4665.5810823699994</v>
      </c>
      <c r="B6" t="s">
        <v>44</v>
      </c>
    </row>
    <row r="7" spans="1:2" x14ac:dyDescent="0.25">
      <c r="A7" s="9">
        <f>26099.52</f>
        <v>26099.52</v>
      </c>
      <c r="B7" t="s">
        <v>22</v>
      </c>
    </row>
    <row r="8" spans="1:2" x14ac:dyDescent="0.25">
      <c r="A8" s="9">
        <f>18.36+38.88+11.88+16.2+17.28+18.36+15.12+19.44+20.52+20.52+19.44+16.2+20.52+19.44+41.04+20.52+16.2+20.52+2.16+20.52+17.28+20.52+19.44+16.2+12.96+10.8+20.52+15.12+20.52+16.2+3.24+15.12+19.44+2.16+19.44+15.12+10.8+20.52+20.52+9.72+20.52+10.8+38.49+19.44+41.04+20.52+20.52+20.52+20.52+20.52+20.52+19.44+11.88+14.04+20.52+16.2+19.44+3.81+47.12+65.23+62.57+115.58+4.05+46.66+2.59+76.46+15.33+95.12+607.02+29+4.26+1.99+18.43+1.02+112.47+96.06+21.31+137.63+68.88+124.18+95.39+15.08+30.4+44.21+9753.81-5.72-10.56</f>
        <v>12733.07</v>
      </c>
      <c r="B8" t="s">
        <v>36</v>
      </c>
    </row>
    <row r="9" spans="1:2" x14ac:dyDescent="0.25">
      <c r="A9" s="11">
        <f>1160.2+1160.2+1367.8</f>
        <v>3688.2</v>
      </c>
      <c r="B9" t="s">
        <v>38</v>
      </c>
    </row>
    <row r="10" spans="1:2" x14ac:dyDescent="0.25">
      <c r="A10" s="9">
        <f>92</f>
        <v>92</v>
      </c>
      <c r="B10" t="s">
        <v>29</v>
      </c>
    </row>
    <row r="11" spans="1:2" x14ac:dyDescent="0.25">
      <c r="A11" s="14">
        <f>List1!D6</f>
        <v>697.04</v>
      </c>
      <c r="B11" t="s">
        <v>30</v>
      </c>
    </row>
    <row r="12" spans="1:2" x14ac:dyDescent="0.25">
      <c r="A12">
        <f>1060.2+2211.53+272.61+192.45</f>
        <v>3736.7900000000004</v>
      </c>
      <c r="B12" t="s">
        <v>32</v>
      </c>
    </row>
    <row r="13" spans="1:2" x14ac:dyDescent="0.25">
      <c r="A13">
        <f>SUM(A4:A12)</f>
        <v>222141.90108237002</v>
      </c>
      <c r="B13" t="s">
        <v>31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skola2</cp:lastModifiedBy>
  <cp:lastPrinted>2024-03-11T08:02:35Z</cp:lastPrinted>
  <dcterms:created xsi:type="dcterms:W3CDTF">2015-06-05T18:19:34Z</dcterms:created>
  <dcterms:modified xsi:type="dcterms:W3CDTF">2025-03-19T08:48:36Z</dcterms:modified>
</cp:coreProperties>
</file>